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ec81527acfe012b/Blue Mountain/Budget/9.10.25 board meeting/"/>
    </mc:Choice>
  </mc:AlternateContent>
  <xr:revisionPtr revIDLastSave="0" documentId="8_{C9971B8C-C1CE-4FF1-989D-80DB1B86D72A}" xr6:coauthVersionLast="47" xr6:coauthVersionMax="47" xr10:uidLastSave="{00000000-0000-0000-0000-000000000000}"/>
  <bookViews>
    <workbookView xWindow="-120" yWindow="-120" windowWidth="29040" windowHeight="15720" xr2:uid="{E5B48C58-F679-4AD5-9B5A-EA9444D464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1" l="1"/>
  <c r="E87" i="1"/>
  <c r="C108" i="1"/>
  <c r="F7" i="1"/>
  <c r="E63" i="1"/>
  <c r="E64" i="1"/>
  <c r="E65" i="1"/>
  <c r="E9" i="1" l="1"/>
  <c r="E97" i="1"/>
  <c r="E98" i="1" s="1"/>
  <c r="C96" i="1"/>
  <c r="D96" i="1" s="1"/>
  <c r="C95" i="1"/>
  <c r="B95" i="1"/>
  <c r="C94" i="1"/>
  <c r="B94" i="1"/>
  <c r="C93" i="1"/>
  <c r="B93" i="1"/>
  <c r="C92" i="1"/>
  <c r="D92" i="1" s="1"/>
  <c r="C91" i="1"/>
  <c r="B91" i="1"/>
  <c r="C85" i="1"/>
  <c r="C87" i="1" s="1"/>
  <c r="B85" i="1"/>
  <c r="B87" i="1" s="1"/>
  <c r="D84" i="1"/>
  <c r="E83" i="1"/>
  <c r="C82" i="1"/>
  <c r="D82" i="1" s="1"/>
  <c r="C81" i="1"/>
  <c r="D81" i="1" s="1"/>
  <c r="C80" i="1"/>
  <c r="D80" i="1" s="1"/>
  <c r="C77" i="1"/>
  <c r="B77" i="1"/>
  <c r="B83" i="1" s="1"/>
  <c r="D76" i="1"/>
  <c r="C75" i="1"/>
  <c r="B75" i="1"/>
  <c r="E74" i="1"/>
  <c r="C71" i="1"/>
  <c r="B71" i="1"/>
  <c r="C70" i="1"/>
  <c r="B70" i="1"/>
  <c r="C69" i="1"/>
  <c r="D69" i="1" s="1"/>
  <c r="C66" i="1"/>
  <c r="B66" i="1"/>
  <c r="C63" i="1"/>
  <c r="D63" i="1" s="1"/>
  <c r="D62" i="1"/>
  <c r="E60" i="1"/>
  <c r="C60" i="1"/>
  <c r="B60" i="1"/>
  <c r="E58" i="1"/>
  <c r="C58" i="1"/>
  <c r="B58" i="1"/>
  <c r="E57" i="1"/>
  <c r="C57" i="1"/>
  <c r="D57" i="1" s="1"/>
  <c r="E56" i="1"/>
  <c r="C56" i="1"/>
  <c r="D56" i="1" s="1"/>
  <c r="E55" i="1"/>
  <c r="C55" i="1"/>
  <c r="D55" i="1" s="1"/>
  <c r="E54" i="1"/>
  <c r="C54" i="1"/>
  <c r="B54" i="1"/>
  <c r="B53" i="1"/>
  <c r="D53" i="1" s="1"/>
  <c r="E52" i="1"/>
  <c r="C52" i="1"/>
  <c r="D52" i="1" s="1"/>
  <c r="C51" i="1"/>
  <c r="B51" i="1"/>
  <c r="C50" i="1"/>
  <c r="B50" i="1"/>
  <c r="C49" i="1"/>
  <c r="B49" i="1"/>
  <c r="C48" i="1"/>
  <c r="B48" i="1"/>
  <c r="C47" i="1"/>
  <c r="D46" i="1"/>
  <c r="E45" i="1"/>
  <c r="C44" i="1"/>
  <c r="B44" i="1"/>
  <c r="C41" i="1"/>
  <c r="B41" i="1"/>
  <c r="D40" i="1"/>
  <c r="E39" i="1"/>
  <c r="C38" i="1"/>
  <c r="B38" i="1"/>
  <c r="C35" i="1"/>
  <c r="B35" i="1"/>
  <c r="D34" i="1"/>
  <c r="C30" i="1"/>
  <c r="B30" i="1"/>
  <c r="C27" i="1"/>
  <c r="B27" i="1"/>
  <c r="C25" i="1"/>
  <c r="B25" i="1"/>
  <c r="C24" i="1"/>
  <c r="B24" i="1"/>
  <c r="E23" i="1"/>
  <c r="E22" i="1"/>
  <c r="C21" i="1"/>
  <c r="B21" i="1"/>
  <c r="D20" i="1"/>
  <c r="C19" i="1"/>
  <c r="D19" i="1" s="1"/>
  <c r="C14" i="1"/>
  <c r="B14" i="1"/>
  <c r="E13" i="1"/>
  <c r="C13" i="1"/>
  <c r="B13" i="1"/>
  <c r="E12" i="1"/>
  <c r="C12" i="1"/>
  <c r="B12" i="1"/>
  <c r="E11" i="1"/>
  <c r="C11" i="1"/>
  <c r="B11" i="1"/>
  <c r="E10" i="1"/>
  <c r="C10" i="1"/>
  <c r="B10" i="1"/>
  <c r="C9" i="1"/>
  <c r="B9" i="1"/>
  <c r="C8" i="1"/>
  <c r="D14" i="1" l="1"/>
  <c r="C107" i="1"/>
  <c r="D9" i="1"/>
  <c r="D12" i="1"/>
  <c r="C105" i="1"/>
  <c r="B107" i="1"/>
  <c r="B105" i="1"/>
  <c r="D49" i="1"/>
  <c r="D35" i="1"/>
  <c r="D30" i="1"/>
  <c r="D95" i="1"/>
  <c r="D51" i="1"/>
  <c r="C39" i="1"/>
  <c r="D75" i="1"/>
  <c r="C83" i="1"/>
  <c r="D83" i="1" s="1"/>
  <c r="D11" i="1"/>
  <c r="D41" i="1"/>
  <c r="D71" i="1"/>
  <c r="D48" i="1"/>
  <c r="C45" i="1"/>
  <c r="D50" i="1"/>
  <c r="B15" i="1"/>
  <c r="B16" i="1" s="1"/>
  <c r="B17" i="1" s="1"/>
  <c r="D10" i="1"/>
  <c r="D21" i="1"/>
  <c r="B39" i="1"/>
  <c r="C15" i="1"/>
  <c r="C16" i="1" s="1"/>
  <c r="C17" i="1" s="1"/>
  <c r="D13" i="1"/>
  <c r="C33" i="1"/>
  <c r="D93" i="1"/>
  <c r="D25" i="1"/>
  <c r="C97" i="1"/>
  <c r="C98" i="1" s="1"/>
  <c r="D44" i="1"/>
  <c r="E61" i="1"/>
  <c r="D60" i="1"/>
  <c r="D70" i="1"/>
  <c r="D91" i="1"/>
  <c r="D27" i="1"/>
  <c r="D77" i="1"/>
  <c r="E33" i="1"/>
  <c r="D54" i="1"/>
  <c r="D87" i="1"/>
  <c r="D24" i="1"/>
  <c r="C61" i="1"/>
  <c r="B61" i="1"/>
  <c r="D66" i="1"/>
  <c r="D94" i="1"/>
  <c r="E15" i="1"/>
  <c r="D58" i="1"/>
  <c r="B74" i="1"/>
  <c r="D85" i="1"/>
  <c r="B45" i="1"/>
  <c r="C74" i="1"/>
  <c r="D8" i="1"/>
  <c r="B33" i="1"/>
  <c r="D38" i="1"/>
  <c r="B97" i="1"/>
  <c r="D47" i="1"/>
  <c r="C109" i="1" l="1"/>
  <c r="C112" i="1" s="1"/>
  <c r="B109" i="1"/>
  <c r="D61" i="1"/>
  <c r="D39" i="1"/>
  <c r="E89" i="1"/>
  <c r="E99" i="1" s="1"/>
  <c r="D16" i="1"/>
  <c r="D45" i="1"/>
  <c r="D15" i="1"/>
  <c r="C88" i="1"/>
  <c r="C89" i="1" s="1"/>
  <c r="C99" i="1" s="1"/>
  <c r="E16" i="1"/>
  <c r="E17" i="1" s="1"/>
  <c r="B88" i="1"/>
  <c r="D33" i="1"/>
  <c r="D17" i="1"/>
  <c r="D97" i="1"/>
  <c r="B98" i="1"/>
  <c r="D98" i="1" s="1"/>
  <c r="D74" i="1"/>
  <c r="C110" i="1" l="1"/>
  <c r="B110" i="1"/>
  <c r="B112" i="1"/>
  <c r="D88" i="1"/>
  <c r="B89" i="1"/>
  <c r="B99" i="1" l="1"/>
  <c r="D99" i="1" s="1"/>
  <c r="D89" i="1"/>
</calcChain>
</file>

<file path=xl/sharedStrings.xml><?xml version="1.0" encoding="utf-8"?>
<sst xmlns="http://schemas.openxmlformats.org/spreadsheetml/2006/main" count="118" uniqueCount="100">
  <si>
    <t>Blue Mountain Property Owners Association</t>
  </si>
  <si>
    <t xml:space="preserve">Budget vs. Actuals: BMOA BUDGET 2025 - FY25 P&amp;L </t>
  </si>
  <si>
    <t>January - December 2025</t>
  </si>
  <si>
    <t>as of 8/31/2025</t>
  </si>
  <si>
    <t>Total</t>
  </si>
  <si>
    <t>Actual</t>
  </si>
  <si>
    <t>Budget</t>
  </si>
  <si>
    <t>Proposed Budget</t>
  </si>
  <si>
    <t>Annual Fees</t>
  </si>
  <si>
    <t>Monthly Fee</t>
  </si>
  <si>
    <t>Revenue</t>
  </si>
  <si>
    <t xml:space="preserve">   Revenues</t>
  </si>
  <si>
    <t xml:space="preserve">      Association Fees-Chestnut Village</t>
  </si>
  <si>
    <t>10 owners</t>
  </si>
  <si>
    <t xml:space="preserve">      Association Fees-Cottages</t>
  </si>
  <si>
    <t>20 owners</t>
  </si>
  <si>
    <t xml:space="preserve">      Association Fees-Eagles Nest</t>
  </si>
  <si>
    <t>36 owners</t>
  </si>
  <si>
    <t xml:space="preserve">      Association Fees-Lodge</t>
  </si>
  <si>
    <t>24 owners</t>
  </si>
  <si>
    <t xml:space="preserve">      Association Fees-Overlook</t>
  </si>
  <si>
    <t>81 owners</t>
  </si>
  <si>
    <t xml:space="preserve">      Payment Discounts</t>
  </si>
  <si>
    <t>171 property owners</t>
  </si>
  <si>
    <t xml:space="preserve">   Total Revenues</t>
  </si>
  <si>
    <t>Total Revenue</t>
  </si>
  <si>
    <t>Gross Profit</t>
  </si>
  <si>
    <t>Expenditures</t>
  </si>
  <si>
    <t xml:space="preserve">   Bank Charges</t>
  </si>
  <si>
    <t xml:space="preserve">   Contract Services</t>
  </si>
  <si>
    <t xml:space="preserve">      Financial Management</t>
  </si>
  <si>
    <t>Lodges</t>
  </si>
  <si>
    <t>Eagles Nest</t>
  </si>
  <si>
    <t xml:space="preserve">      Legal &amp; Professional Expense</t>
  </si>
  <si>
    <t xml:space="preserve">      Property Management</t>
  </si>
  <si>
    <t xml:space="preserve">      Wolf Laurel Road Maintenance</t>
  </si>
  <si>
    <t xml:space="preserve">      Wolf Laurel Security</t>
  </si>
  <si>
    <t xml:space="preserve">   Total Contract Services</t>
  </si>
  <si>
    <t xml:space="preserve">   Insurance</t>
  </si>
  <si>
    <t xml:space="preserve">      Insurance-Package Policy</t>
  </si>
  <si>
    <t xml:space="preserve">      Insurance-Workers Comp</t>
  </si>
  <si>
    <t xml:space="preserve">   Total Insurance</t>
  </si>
  <si>
    <t xml:space="preserve">   Landscaping</t>
  </si>
  <si>
    <t xml:space="preserve">      Landscaping &amp; Flower Beds</t>
  </si>
  <si>
    <t xml:space="preserve">      Landscaping Materials</t>
  </si>
  <si>
    <t xml:space="preserve">   Total Landscaping</t>
  </si>
  <si>
    <t xml:space="preserve">   Maintenance</t>
  </si>
  <si>
    <t xml:space="preserve">      Increase in Road Reserve</t>
  </si>
  <si>
    <t xml:space="preserve">      Maint-Snow Removal-Contract</t>
  </si>
  <si>
    <t xml:space="preserve">      Snow Removal-Eagles Nest</t>
  </si>
  <si>
    <t xml:space="preserve">      Snow Removal-Lodge</t>
  </si>
  <si>
    <t xml:space="preserve">      Maintenance-Culverts</t>
  </si>
  <si>
    <t xml:space="preserve">      Maintenance-Ditches Labor</t>
  </si>
  <si>
    <t xml:space="preserve">      Maintenance-Roads &amp; Paving</t>
  </si>
  <si>
    <t xml:space="preserve">      Maintenance-Salt,Sand &amp; Storage</t>
  </si>
  <si>
    <t xml:space="preserve">      Maintenance-Shoulder Repair-Materials</t>
  </si>
  <si>
    <t xml:space="preserve">      Maintenance-Storm Damage</t>
  </si>
  <si>
    <t xml:space="preserve">      Maintenance-Street Lights</t>
  </si>
  <si>
    <t xml:space="preserve">      Maintenance-Tree Removal</t>
  </si>
  <si>
    <t xml:space="preserve">      Maintenance-Weeding Shoulders</t>
  </si>
  <si>
    <t xml:space="preserve">   Total Maintenance</t>
  </si>
  <si>
    <t xml:space="preserve">   Office &amp; Other Expenses</t>
  </si>
  <si>
    <t xml:space="preserve">      Computer Support &amp; Software Quickbooks</t>
  </si>
  <si>
    <t xml:space="preserve">      Office Expense-Postage</t>
  </si>
  <si>
    <t xml:space="preserve">      Office Expense-Reproduction</t>
  </si>
  <si>
    <t xml:space="preserve">      Office Expense-Supplies</t>
  </si>
  <si>
    <t xml:space="preserve">      Website Expense</t>
  </si>
  <si>
    <t xml:space="preserve">   Total Office &amp; Other Expenses</t>
  </si>
  <si>
    <t xml:space="preserve">   QuickBooks Payments Fees</t>
  </si>
  <si>
    <t xml:space="preserve">   Taxes</t>
  </si>
  <si>
    <t xml:space="preserve">      Taxes-Federal Income Tax</t>
  </si>
  <si>
    <t xml:space="preserve">      Taxes-Property</t>
  </si>
  <si>
    <t xml:space="preserve">      Taxes-State Income Tax</t>
  </si>
  <si>
    <t xml:space="preserve">   Total Taxes</t>
  </si>
  <si>
    <t xml:space="preserve">   Utilities &amp; Other</t>
  </si>
  <si>
    <t xml:space="preserve">      Utilities-Electric Lighting</t>
  </si>
  <si>
    <t xml:space="preserve">   Total Utilities &amp; Other</t>
  </si>
  <si>
    <t>Total Expenditures</t>
  </si>
  <si>
    <t>Net Operating Revenue</t>
  </si>
  <si>
    <t>Other Revenue</t>
  </si>
  <si>
    <t xml:space="preserve">   ARB Application Fees</t>
  </si>
  <si>
    <t xml:space="preserve">   Change in Doubtful Accounts</t>
  </si>
  <si>
    <t xml:space="preserve">   Finance Charge Income</t>
  </si>
  <si>
    <t xml:space="preserve">   Interest Income</t>
  </si>
  <si>
    <t xml:space="preserve">   Late Fees</t>
  </si>
  <si>
    <t xml:space="preserve">   Sale-Owned Property</t>
  </si>
  <si>
    <t>Total Other Revenue</t>
  </si>
  <si>
    <t>Net Other Revenue</t>
  </si>
  <si>
    <t>Net Revenue</t>
  </si>
  <si>
    <t xml:space="preserve">     Maintenance Lodge Electrical</t>
  </si>
  <si>
    <t>Income from Eagles Nest &amp; Lodges</t>
  </si>
  <si>
    <t>Expenses: 2025 already paying</t>
  </si>
  <si>
    <t>Expenses: 2026 with proposed</t>
  </si>
  <si>
    <t>Difference for Reserve Contribution</t>
  </si>
  <si>
    <t>Snow Removal variable</t>
  </si>
  <si>
    <t>60 property owners</t>
  </si>
  <si>
    <t>Annual Reserve Contribution per property owner</t>
  </si>
  <si>
    <t>Percentage of Reserve contribution to income</t>
  </si>
  <si>
    <t>Amendments</t>
  </si>
  <si>
    <t xml:space="preserve">      Tax Return Preparation &amp; Filing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</si>
</sst>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\ _€"/>
    <numFmt numFmtId="165" formatCode="&quot;$&quot;* #,##0.00\ _€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9"/>
      <color rgb="FFFF0000"/>
      <name val="Arial"/>
      <family val="2"/>
    </font>
    <font>
      <b/>
      <sz val="8"/>
      <color indexed="8"/>
      <name val="Arial"/>
    </font>
    <font>
      <sz val="8"/>
      <color indexed="8"/>
      <name val="Arial"/>
    </font>
    <font>
      <b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164" fontId="8" fillId="0" borderId="0" xfId="0" applyNumberFormat="1" applyFont="1" applyAlignment="1">
      <alignment wrapText="1"/>
    </xf>
    <xf numFmtId="44" fontId="2" fillId="0" borderId="4" xfId="0" applyNumberFormat="1" applyFont="1" applyBorder="1"/>
    <xf numFmtId="44" fontId="2" fillId="2" borderId="5" xfId="0" applyNumberFormat="1" applyFont="1" applyFill="1" applyBorder="1"/>
    <xf numFmtId="164" fontId="8" fillId="0" borderId="0" xfId="0" applyNumberFormat="1" applyFont="1" applyAlignment="1">
      <alignment horizontal="right" wrapText="1"/>
    </xf>
    <xf numFmtId="9" fontId="0" fillId="0" borderId="0" xfId="0" applyNumberFormat="1"/>
    <xf numFmtId="165" fontId="7" fillId="0" borderId="6" xfId="0" applyNumberFormat="1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164" fontId="8" fillId="3" borderId="0" xfId="0" applyNumberFormat="1" applyFont="1" applyFill="1" applyAlignment="1">
      <alignment horizontal="right" wrapText="1"/>
    </xf>
    <xf numFmtId="44" fontId="8" fillId="3" borderId="0" xfId="1" applyFont="1" applyFill="1" applyAlignment="1">
      <alignment horizontal="right" wrapText="1"/>
    </xf>
    <xf numFmtId="164" fontId="8" fillId="4" borderId="0" xfId="0" applyNumberFormat="1" applyFont="1" applyFill="1" applyAlignment="1">
      <alignment horizontal="right" wrapText="1"/>
    </xf>
    <xf numFmtId="44" fontId="0" fillId="0" borderId="0" xfId="0" applyNumberFormat="1"/>
    <xf numFmtId="44" fontId="0" fillId="0" borderId="0" xfId="1" applyFont="1"/>
    <xf numFmtId="0" fontId="0" fillId="0" borderId="1" xfId="0" applyBorder="1"/>
    <xf numFmtId="0" fontId="9" fillId="0" borderId="0" xfId="0" applyFont="1" applyAlignment="1">
      <alignment horizontal="right" wrapText="1"/>
    </xf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4" fontId="0" fillId="0" borderId="0" xfId="0" applyNumberFormat="1"/>
    <xf numFmtId="0" fontId="0" fillId="0" borderId="9" xfId="0" applyBorder="1"/>
    <xf numFmtId="44" fontId="0" fillId="0" borderId="9" xfId="0" applyNumberFormat="1" applyBorder="1"/>
    <xf numFmtId="0" fontId="0" fillId="0" borderId="4" xfId="0" applyBorder="1"/>
    <xf numFmtId="44" fontId="0" fillId="0" borderId="10" xfId="0" applyNumberFormat="1" applyBorder="1"/>
    <xf numFmtId="0" fontId="0" fillId="0" borderId="10" xfId="0" applyBorder="1"/>
    <xf numFmtId="0" fontId="0" fillId="0" borderId="5" xfId="0" applyBorder="1"/>
    <xf numFmtId="44" fontId="0" fillId="4" borderId="1" xfId="1" applyFont="1" applyFill="1" applyBorder="1"/>
    <xf numFmtId="44" fontId="0" fillId="3" borderId="0" xfId="0" applyNumberFormat="1" applyFill="1"/>
    <xf numFmtId="0" fontId="0" fillId="3" borderId="0" xfId="0" applyFill="1"/>
    <xf numFmtId="9" fontId="0" fillId="3" borderId="0" xfId="0" applyNumberFormat="1" applyFill="1"/>
    <xf numFmtId="9" fontId="0" fillId="3" borderId="0" xfId="1" applyNumberFormat="1" applyFont="1" applyFill="1"/>
    <xf numFmtId="164" fontId="8" fillId="5" borderId="0" xfId="0" applyNumberFormat="1" applyFont="1" applyFill="1" applyAlignment="1">
      <alignment horizontal="right" wrapText="1"/>
    </xf>
    <xf numFmtId="165" fontId="7" fillId="2" borderId="6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D1319-2F2D-463F-8718-4AE4B9B138BC}">
  <sheetPr>
    <pageSetUpPr fitToPage="1"/>
  </sheetPr>
  <dimension ref="A1:G114"/>
  <sheetViews>
    <sheetView tabSelected="1" workbookViewId="0">
      <selection activeCell="I22" sqref="I22"/>
    </sheetView>
  </sheetViews>
  <sheetFormatPr defaultRowHeight="15" x14ac:dyDescent="0.25"/>
  <cols>
    <col min="1" max="1" width="43.85546875" bestFit="1" customWidth="1"/>
    <col min="2" max="4" width="17.140625" customWidth="1"/>
    <col min="5" max="5" width="17.7109375" customWidth="1"/>
    <col min="6" max="6" width="18.85546875" bestFit="1" customWidth="1"/>
  </cols>
  <sheetData>
    <row r="1" spans="1:7" ht="18" x14ac:dyDescent="0.25">
      <c r="A1" s="41" t="s">
        <v>0</v>
      </c>
      <c r="B1" s="42"/>
      <c r="C1" s="42"/>
      <c r="D1" s="42"/>
    </row>
    <row r="2" spans="1:7" ht="18" x14ac:dyDescent="0.25">
      <c r="A2" s="41" t="s">
        <v>1</v>
      </c>
      <c r="B2" s="42"/>
      <c r="C2" s="42"/>
      <c r="D2" s="42"/>
    </row>
    <row r="3" spans="1:7" x14ac:dyDescent="0.25">
      <c r="A3" s="43" t="s">
        <v>2</v>
      </c>
      <c r="B3" s="42"/>
      <c r="C3" s="42"/>
      <c r="D3" s="42"/>
    </row>
    <row r="4" spans="1:7" x14ac:dyDescent="0.25">
      <c r="B4" s="1"/>
    </row>
    <row r="5" spans="1:7" ht="15.75" thickBot="1" x14ac:dyDescent="0.3">
      <c r="A5" s="2" t="s">
        <v>3</v>
      </c>
      <c r="B5" s="44" t="s">
        <v>4</v>
      </c>
      <c r="C5" s="45"/>
      <c r="D5" s="45"/>
      <c r="E5" s="4">
        <v>2026</v>
      </c>
    </row>
    <row r="6" spans="1:7" ht="24.75" x14ac:dyDescent="0.25">
      <c r="A6" s="2"/>
      <c r="B6" s="3" t="s">
        <v>5</v>
      </c>
      <c r="C6" s="3" t="s">
        <v>6</v>
      </c>
      <c r="D6" s="3" t="s">
        <v>98</v>
      </c>
      <c r="E6" s="5" t="s">
        <v>7</v>
      </c>
      <c r="F6" s="6" t="s">
        <v>8</v>
      </c>
      <c r="G6" s="7" t="s">
        <v>9</v>
      </c>
    </row>
    <row r="7" spans="1:7" ht="15.75" thickBot="1" x14ac:dyDescent="0.3">
      <c r="A7" s="8" t="s">
        <v>10</v>
      </c>
      <c r="B7" s="9"/>
      <c r="C7" s="9"/>
      <c r="D7" s="9"/>
      <c r="F7" s="10">
        <f>195*12</f>
        <v>2340</v>
      </c>
      <c r="G7" s="11">
        <v>195</v>
      </c>
    </row>
    <row r="8" spans="1:7" x14ac:dyDescent="0.25">
      <c r="A8" s="8" t="s">
        <v>11</v>
      </c>
      <c r="B8" s="9"/>
      <c r="C8" s="12">
        <f>0</f>
        <v>0</v>
      </c>
      <c r="D8" s="12">
        <f t="shared" ref="D8:D17" si="0">(B8)-(C8)</f>
        <v>0</v>
      </c>
    </row>
    <row r="9" spans="1:7" x14ac:dyDescent="0.25">
      <c r="A9" s="8" t="s">
        <v>12</v>
      </c>
      <c r="B9" s="12">
        <f>13485</f>
        <v>13485</v>
      </c>
      <c r="C9" s="12">
        <f>16740</f>
        <v>16740</v>
      </c>
      <c r="D9" s="12">
        <f t="shared" si="0"/>
        <v>-3255</v>
      </c>
      <c r="E9" s="12">
        <f>F7*10</f>
        <v>23400</v>
      </c>
      <c r="F9" t="s">
        <v>13</v>
      </c>
      <c r="G9" s="13">
        <v>0.05</v>
      </c>
    </row>
    <row r="10" spans="1:7" x14ac:dyDescent="0.25">
      <c r="A10" s="8" t="s">
        <v>14</v>
      </c>
      <c r="B10" s="12">
        <f>24516.3</f>
        <v>24516.3</v>
      </c>
      <c r="C10" s="12">
        <f>37200</f>
        <v>37200</v>
      </c>
      <c r="D10" s="12">
        <f t="shared" si="0"/>
        <v>-12683.7</v>
      </c>
      <c r="E10" s="12">
        <f>F7*20</f>
        <v>46800</v>
      </c>
      <c r="F10" t="s">
        <v>15</v>
      </c>
      <c r="G10" s="13">
        <v>0.12</v>
      </c>
    </row>
    <row r="11" spans="1:7" x14ac:dyDescent="0.25">
      <c r="A11" s="8" t="s">
        <v>16</v>
      </c>
      <c r="B11" s="12">
        <f>44640</f>
        <v>44640</v>
      </c>
      <c r="C11" s="12">
        <f>66960</f>
        <v>66960</v>
      </c>
      <c r="D11" s="12">
        <f t="shared" si="0"/>
        <v>-22320</v>
      </c>
      <c r="E11" s="12">
        <f>F7*36</f>
        <v>84240</v>
      </c>
      <c r="F11" t="s">
        <v>17</v>
      </c>
      <c r="G11" s="13">
        <v>0.21</v>
      </c>
    </row>
    <row r="12" spans="1:7" x14ac:dyDescent="0.25">
      <c r="A12" s="8" t="s">
        <v>18</v>
      </c>
      <c r="B12" s="12">
        <f>29760</f>
        <v>29760</v>
      </c>
      <c r="C12" s="12">
        <f>44640</f>
        <v>44640</v>
      </c>
      <c r="D12" s="12">
        <f t="shared" si="0"/>
        <v>-14880</v>
      </c>
      <c r="E12" s="12">
        <f>F7*24</f>
        <v>56160</v>
      </c>
      <c r="F12" t="s">
        <v>19</v>
      </c>
      <c r="G12" s="13">
        <v>0.14000000000000001</v>
      </c>
    </row>
    <row r="13" spans="1:7" x14ac:dyDescent="0.25">
      <c r="A13" s="8" t="s">
        <v>20</v>
      </c>
      <c r="B13" s="12">
        <f>128868.9</f>
        <v>128868.9</v>
      </c>
      <c r="C13" s="12">
        <f>152520</f>
        <v>152520</v>
      </c>
      <c r="D13" s="12">
        <f t="shared" si="0"/>
        <v>-23651.100000000006</v>
      </c>
      <c r="E13" s="12">
        <f>F7*81</f>
        <v>189540</v>
      </c>
      <c r="F13" t="s">
        <v>21</v>
      </c>
      <c r="G13" s="13">
        <v>0.48</v>
      </c>
    </row>
    <row r="14" spans="1:7" x14ac:dyDescent="0.25">
      <c r="A14" s="8" t="s">
        <v>22</v>
      </c>
      <c r="B14" s="12">
        <f>-669.6</f>
        <v>-669.6</v>
      </c>
      <c r="C14" s="12">
        <f>-15000</f>
        <v>-15000</v>
      </c>
      <c r="D14" s="12">
        <f t="shared" si="0"/>
        <v>14330.4</v>
      </c>
      <c r="E14" s="12">
        <v>-10000</v>
      </c>
      <c r="F14" t="s">
        <v>23</v>
      </c>
    </row>
    <row r="15" spans="1:7" x14ac:dyDescent="0.25">
      <c r="A15" s="8" t="s">
        <v>24</v>
      </c>
      <c r="B15" s="14">
        <f>((((((B8)+(B9))+(B10))+(B11))+(B12))+(B13))+(B14)</f>
        <v>240600.6</v>
      </c>
      <c r="C15" s="14">
        <f>((((((C8)+(C9))+(C10))+(C11))+(C12))+(C13))+(C14)</f>
        <v>303060</v>
      </c>
      <c r="D15" s="14">
        <f t="shared" si="0"/>
        <v>-62459.399999999994</v>
      </c>
      <c r="E15" s="14">
        <f>SUM(E8:E14)</f>
        <v>390140</v>
      </c>
    </row>
    <row r="16" spans="1:7" x14ac:dyDescent="0.25">
      <c r="A16" s="8" t="s">
        <v>25</v>
      </c>
      <c r="B16" s="14">
        <f>B15</f>
        <v>240600.6</v>
      </c>
      <c r="C16" s="14">
        <f>C15</f>
        <v>303060</v>
      </c>
      <c r="D16" s="14">
        <f t="shared" si="0"/>
        <v>-62459.399999999994</v>
      </c>
      <c r="E16" s="14">
        <f>E15</f>
        <v>390140</v>
      </c>
    </row>
    <row r="17" spans="1:5" x14ac:dyDescent="0.25">
      <c r="A17" s="8" t="s">
        <v>26</v>
      </c>
      <c r="B17" s="14">
        <f>(B16)-(0)</f>
        <v>240600.6</v>
      </c>
      <c r="C17" s="14">
        <f>(C16)-(0)</f>
        <v>303060</v>
      </c>
      <c r="D17" s="14">
        <f t="shared" si="0"/>
        <v>-62459.399999999994</v>
      </c>
      <c r="E17" s="14">
        <f>E16</f>
        <v>390140</v>
      </c>
    </row>
    <row r="18" spans="1:5" x14ac:dyDescent="0.25">
      <c r="A18" s="8" t="s">
        <v>27</v>
      </c>
      <c r="B18" s="9"/>
      <c r="C18" s="9"/>
      <c r="D18" s="9"/>
    </row>
    <row r="19" spans="1:5" x14ac:dyDescent="0.25">
      <c r="A19" s="8" t="s">
        <v>28</v>
      </c>
      <c r="B19" s="9"/>
      <c r="C19" s="12">
        <f>500</f>
        <v>500</v>
      </c>
      <c r="D19" s="12">
        <f t="shared" ref="D19:D89" si="1">(B19)-(C19)</f>
        <v>-500</v>
      </c>
      <c r="E19" s="12">
        <v>500</v>
      </c>
    </row>
    <row r="20" spans="1:5" x14ac:dyDescent="0.25">
      <c r="A20" s="8" t="s">
        <v>29</v>
      </c>
      <c r="B20" s="9"/>
      <c r="C20" s="9"/>
      <c r="D20" s="12">
        <f t="shared" si="1"/>
        <v>0</v>
      </c>
      <c r="E20" s="12"/>
    </row>
    <row r="21" spans="1:5" x14ac:dyDescent="0.25">
      <c r="A21" s="8" t="s">
        <v>30</v>
      </c>
      <c r="B21" s="12">
        <f>13200</f>
        <v>13200</v>
      </c>
      <c r="C21" s="12">
        <f>23500</f>
        <v>23500</v>
      </c>
      <c r="D21" s="12">
        <f t="shared" si="1"/>
        <v>-10300</v>
      </c>
      <c r="E21" s="12">
        <v>14540</v>
      </c>
    </row>
    <row r="22" spans="1:5" x14ac:dyDescent="0.25">
      <c r="A22" s="15" t="s">
        <v>31</v>
      </c>
      <c r="B22" s="12"/>
      <c r="C22" s="12"/>
      <c r="D22" s="12"/>
      <c r="E22" s="16">
        <f>390*12+500</f>
        <v>5180</v>
      </c>
    </row>
    <row r="23" spans="1:5" x14ac:dyDescent="0.25">
      <c r="A23" s="15" t="s">
        <v>32</v>
      </c>
      <c r="B23" s="12"/>
      <c r="C23" s="12"/>
      <c r="D23" s="12"/>
      <c r="E23" s="16">
        <f>390*12+500</f>
        <v>5180</v>
      </c>
    </row>
    <row r="24" spans="1:5" x14ac:dyDescent="0.25">
      <c r="A24" s="8" t="s">
        <v>33</v>
      </c>
      <c r="B24" s="12">
        <f>5598.5</f>
        <v>5598.5</v>
      </c>
      <c r="C24" s="12">
        <f>9400</f>
        <v>9400</v>
      </c>
      <c r="D24" s="12">
        <f t="shared" si="1"/>
        <v>-3801.5</v>
      </c>
      <c r="E24" s="12">
        <v>9400</v>
      </c>
    </row>
    <row r="25" spans="1:5" x14ac:dyDescent="0.25">
      <c r="A25" s="8" t="s">
        <v>34</v>
      </c>
      <c r="B25" s="12">
        <f>5160</f>
        <v>5160</v>
      </c>
      <c r="C25" s="12">
        <f>10000</f>
        <v>10000</v>
      </c>
      <c r="D25" s="12">
        <f t="shared" si="1"/>
        <v>-4840</v>
      </c>
      <c r="E25" s="12">
        <v>10000</v>
      </c>
    </row>
    <row r="26" spans="1:5" x14ac:dyDescent="0.25">
      <c r="A26" s="22" t="s">
        <v>32</v>
      </c>
      <c r="B26" s="12"/>
      <c r="C26" s="12"/>
      <c r="D26" s="12"/>
      <c r="E26" s="18">
        <v>750</v>
      </c>
    </row>
    <row r="27" spans="1:5" x14ac:dyDescent="0.25">
      <c r="A27" s="8" t="s">
        <v>35</v>
      </c>
      <c r="B27" s="12">
        <f>9450.3</f>
        <v>9450.2999999999993</v>
      </c>
      <c r="C27" s="12">
        <f>9700</f>
        <v>9700</v>
      </c>
      <c r="D27" s="12">
        <f t="shared" si="1"/>
        <v>-249.70000000000073</v>
      </c>
      <c r="E27" s="12">
        <v>6630</v>
      </c>
    </row>
    <row r="28" spans="1:5" x14ac:dyDescent="0.25">
      <c r="A28" s="15" t="s">
        <v>31</v>
      </c>
      <c r="B28" s="12"/>
      <c r="C28" s="12"/>
      <c r="D28" s="12"/>
      <c r="E28" s="16">
        <v>1428</v>
      </c>
    </row>
    <row r="29" spans="1:5" x14ac:dyDescent="0.25">
      <c r="A29" s="15" t="s">
        <v>32</v>
      </c>
      <c r="B29" s="12"/>
      <c r="C29" s="12"/>
      <c r="D29" s="12"/>
      <c r="E29" s="16">
        <v>2142</v>
      </c>
    </row>
    <row r="30" spans="1:5" x14ac:dyDescent="0.25">
      <c r="A30" s="8" t="s">
        <v>36</v>
      </c>
      <c r="B30" s="12">
        <f>75513.1</f>
        <v>75513.100000000006</v>
      </c>
      <c r="C30" s="12">
        <f>73500</f>
        <v>73500</v>
      </c>
      <c r="D30" s="39">
        <f t="shared" si="1"/>
        <v>2013.1000000000058</v>
      </c>
      <c r="E30" s="12">
        <v>52065</v>
      </c>
    </row>
    <row r="31" spans="1:5" x14ac:dyDescent="0.25">
      <c r="A31" s="15" t="s">
        <v>31</v>
      </c>
      <c r="B31" s="12"/>
      <c r="C31" s="12"/>
      <c r="D31" s="12"/>
      <c r="E31" s="16">
        <v>11214</v>
      </c>
    </row>
    <row r="32" spans="1:5" x14ac:dyDescent="0.25">
      <c r="A32" s="15" t="s">
        <v>32</v>
      </c>
      <c r="B32" s="12"/>
      <c r="C32" s="12"/>
      <c r="D32" s="12"/>
      <c r="E32" s="16">
        <v>16821</v>
      </c>
    </row>
    <row r="33" spans="1:5" x14ac:dyDescent="0.25">
      <c r="A33" s="8" t="s">
        <v>37</v>
      </c>
      <c r="B33" s="14">
        <f>(((((B20)+(B21))+(B24))+(B25))+(B27))+(B30)</f>
        <v>108921.90000000001</v>
      </c>
      <c r="C33" s="14">
        <f>(((((C20)+(C21))+(C24))+(C25))+(C27))+(C30)</f>
        <v>126100</v>
      </c>
      <c r="D33" s="14">
        <f t="shared" si="1"/>
        <v>-17178.099999999991</v>
      </c>
      <c r="E33" s="14">
        <f>SUM(E19:E32)</f>
        <v>135850</v>
      </c>
    </row>
    <row r="34" spans="1:5" x14ac:dyDescent="0.25">
      <c r="A34" s="8" t="s">
        <v>38</v>
      </c>
      <c r="B34" s="9"/>
      <c r="C34" s="9"/>
      <c r="D34" s="12">
        <f t="shared" si="1"/>
        <v>0</v>
      </c>
    </row>
    <row r="35" spans="1:5" x14ac:dyDescent="0.25">
      <c r="A35" s="8" t="s">
        <v>39</v>
      </c>
      <c r="B35" s="12">
        <f>4793</f>
        <v>4793</v>
      </c>
      <c r="C35" s="12">
        <f>5100</f>
        <v>5100</v>
      </c>
      <c r="D35" s="12">
        <f t="shared" si="1"/>
        <v>-307</v>
      </c>
      <c r="E35" s="12">
        <v>5500</v>
      </c>
    </row>
    <row r="36" spans="1:5" x14ac:dyDescent="0.25">
      <c r="A36" s="15" t="s">
        <v>31</v>
      </c>
      <c r="B36" s="12"/>
      <c r="C36" s="12"/>
      <c r="D36" s="12"/>
      <c r="E36" s="18">
        <v>2000</v>
      </c>
    </row>
    <row r="37" spans="1:5" x14ac:dyDescent="0.25">
      <c r="A37" s="15" t="s">
        <v>32</v>
      </c>
      <c r="B37" s="12"/>
      <c r="C37" s="12"/>
      <c r="D37" s="12"/>
      <c r="E37" s="18">
        <v>2100</v>
      </c>
    </row>
    <row r="38" spans="1:5" x14ac:dyDescent="0.25">
      <c r="A38" s="8" t="s">
        <v>40</v>
      </c>
      <c r="B38" s="12">
        <f>1075</f>
        <v>1075</v>
      </c>
      <c r="C38" s="12">
        <f>1200</f>
        <v>1200</v>
      </c>
      <c r="D38" s="12">
        <f t="shared" si="1"/>
        <v>-125</v>
      </c>
      <c r="E38" s="12">
        <v>1350</v>
      </c>
    </row>
    <row r="39" spans="1:5" x14ac:dyDescent="0.25">
      <c r="A39" s="8" t="s">
        <v>41</v>
      </c>
      <c r="B39" s="14">
        <f>((B34)+(B35))+(B38)</f>
        <v>5868</v>
      </c>
      <c r="C39" s="14">
        <f>((C34)+(C35))+(C38)</f>
        <v>6300</v>
      </c>
      <c r="D39" s="14">
        <f t="shared" si="1"/>
        <v>-432</v>
      </c>
      <c r="E39" s="14">
        <f>SUM(E35:E38)</f>
        <v>10950</v>
      </c>
    </row>
    <row r="40" spans="1:5" x14ac:dyDescent="0.25">
      <c r="A40" s="8" t="s">
        <v>42</v>
      </c>
      <c r="B40" s="9"/>
      <c r="C40" s="9"/>
      <c r="D40" s="12">
        <f t="shared" si="1"/>
        <v>0</v>
      </c>
    </row>
    <row r="41" spans="1:5" x14ac:dyDescent="0.25">
      <c r="A41" s="8" t="s">
        <v>43</v>
      </c>
      <c r="B41" s="12">
        <f>9662.81</f>
        <v>9662.81</v>
      </c>
      <c r="C41" s="12">
        <f>9000</f>
        <v>9000</v>
      </c>
      <c r="D41" s="39">
        <f t="shared" si="1"/>
        <v>662.80999999999949</v>
      </c>
      <c r="E41" s="12">
        <v>9500</v>
      </c>
    </row>
    <row r="42" spans="1:5" x14ac:dyDescent="0.25">
      <c r="A42" s="15" t="s">
        <v>31</v>
      </c>
      <c r="B42" s="12"/>
      <c r="C42" s="12"/>
      <c r="D42" s="12"/>
      <c r="E42" s="18">
        <v>10330</v>
      </c>
    </row>
    <row r="43" spans="1:5" x14ac:dyDescent="0.25">
      <c r="A43" s="15" t="s">
        <v>32</v>
      </c>
      <c r="B43" s="12"/>
      <c r="C43" s="12"/>
      <c r="D43" s="12"/>
      <c r="E43" s="18">
        <v>20000</v>
      </c>
    </row>
    <row r="44" spans="1:5" x14ac:dyDescent="0.25">
      <c r="A44" s="8" t="s">
        <v>44</v>
      </c>
      <c r="B44" s="12">
        <f>44.88</f>
        <v>44.88</v>
      </c>
      <c r="C44" s="12">
        <f>5000</f>
        <v>5000</v>
      </c>
      <c r="D44" s="12">
        <f t="shared" si="1"/>
        <v>-4955.12</v>
      </c>
      <c r="E44" s="12">
        <v>5000</v>
      </c>
    </row>
    <row r="45" spans="1:5" x14ac:dyDescent="0.25">
      <c r="A45" s="8" t="s">
        <v>45</v>
      </c>
      <c r="B45" s="14">
        <f>((B40)+(B41))+(B44)</f>
        <v>9707.6899999999987</v>
      </c>
      <c r="C45" s="14">
        <f>((C40)+(C41))+(C44)</f>
        <v>14000</v>
      </c>
      <c r="D45" s="14">
        <f t="shared" si="1"/>
        <v>-4292.3100000000013</v>
      </c>
      <c r="E45" s="14">
        <f>SUM(E41:E44)</f>
        <v>44830</v>
      </c>
    </row>
    <row r="46" spans="1:5" x14ac:dyDescent="0.25">
      <c r="A46" s="8" t="s">
        <v>46</v>
      </c>
      <c r="B46" s="9"/>
      <c r="C46" s="9"/>
      <c r="D46" s="12">
        <f t="shared" si="1"/>
        <v>0</v>
      </c>
    </row>
    <row r="47" spans="1:5" x14ac:dyDescent="0.25">
      <c r="A47" s="8" t="s">
        <v>47</v>
      </c>
      <c r="B47" s="9"/>
      <c r="C47" s="12">
        <f>86362</f>
        <v>86362</v>
      </c>
      <c r="D47" s="12">
        <f t="shared" si="1"/>
        <v>-86362</v>
      </c>
      <c r="E47" s="12">
        <v>86362</v>
      </c>
    </row>
    <row r="48" spans="1:5" x14ac:dyDescent="0.25">
      <c r="A48" s="8" t="s">
        <v>48</v>
      </c>
      <c r="B48" s="12">
        <f>25350</f>
        <v>25350</v>
      </c>
      <c r="C48" s="12">
        <f>15000</f>
        <v>15000</v>
      </c>
      <c r="D48" s="39">
        <f t="shared" si="1"/>
        <v>10350</v>
      </c>
      <c r="E48" s="12">
        <v>16500</v>
      </c>
    </row>
    <row r="49" spans="1:5" x14ac:dyDescent="0.25">
      <c r="A49" s="8" t="s">
        <v>49</v>
      </c>
      <c r="B49" s="12">
        <f>12650</f>
        <v>12650</v>
      </c>
      <c r="C49" s="12">
        <f>9500</f>
        <v>9500</v>
      </c>
      <c r="D49" s="39">
        <f>(B49)-(C49)</f>
        <v>3150</v>
      </c>
      <c r="E49" s="16">
        <v>10500</v>
      </c>
    </row>
    <row r="50" spans="1:5" x14ac:dyDescent="0.25">
      <c r="A50" s="8" t="s">
        <v>50</v>
      </c>
      <c r="B50" s="12">
        <f>6000</f>
        <v>6000</v>
      </c>
      <c r="C50" s="12">
        <f>5000</f>
        <v>5000</v>
      </c>
      <c r="D50" s="39">
        <f>(B50)-(C50)</f>
        <v>1000</v>
      </c>
      <c r="E50" s="16">
        <v>7000</v>
      </c>
    </row>
    <row r="51" spans="1:5" x14ac:dyDescent="0.25">
      <c r="A51" s="8" t="s">
        <v>51</v>
      </c>
      <c r="B51" s="12">
        <f>1200</f>
        <v>1200</v>
      </c>
      <c r="C51" s="12">
        <f>3000</f>
        <v>3000</v>
      </c>
      <c r="D51" s="12">
        <f t="shared" si="1"/>
        <v>-1800</v>
      </c>
      <c r="E51" s="12">
        <v>3000</v>
      </c>
    </row>
    <row r="52" spans="1:5" x14ac:dyDescent="0.25">
      <c r="A52" s="8" t="s">
        <v>52</v>
      </c>
      <c r="B52" s="9"/>
      <c r="C52" s="12">
        <f>3000</f>
        <v>3000</v>
      </c>
      <c r="D52" s="12">
        <f t="shared" si="1"/>
        <v>-3000</v>
      </c>
      <c r="E52" s="12">
        <f>3000</f>
        <v>3000</v>
      </c>
    </row>
    <row r="53" spans="1:5" x14ac:dyDescent="0.25">
      <c r="A53" s="8" t="s">
        <v>53</v>
      </c>
      <c r="B53" s="12">
        <f>19410</f>
        <v>19410</v>
      </c>
      <c r="C53" s="9"/>
      <c r="D53" s="39">
        <f t="shared" si="1"/>
        <v>19410</v>
      </c>
      <c r="E53" s="9">
        <v>20000</v>
      </c>
    </row>
    <row r="54" spans="1:5" x14ac:dyDescent="0.25">
      <c r="A54" s="8" t="s">
        <v>54</v>
      </c>
      <c r="B54" s="12">
        <f>2000</f>
        <v>2000</v>
      </c>
      <c r="C54" s="12">
        <f>5000</f>
        <v>5000</v>
      </c>
      <c r="D54" s="12">
        <f t="shared" si="1"/>
        <v>-3000</v>
      </c>
      <c r="E54" s="12">
        <f>5000</f>
        <v>5000</v>
      </c>
    </row>
    <row r="55" spans="1:5" x14ac:dyDescent="0.25">
      <c r="A55" s="8" t="s">
        <v>55</v>
      </c>
      <c r="B55" s="9"/>
      <c r="C55" s="12">
        <f>3000</f>
        <v>3000</v>
      </c>
      <c r="D55" s="12">
        <f t="shared" si="1"/>
        <v>-3000</v>
      </c>
      <c r="E55" s="12">
        <f>3000</f>
        <v>3000</v>
      </c>
    </row>
    <row r="56" spans="1:5" x14ac:dyDescent="0.25">
      <c r="A56" s="8" t="s">
        <v>56</v>
      </c>
      <c r="B56" s="9"/>
      <c r="C56" s="12">
        <f>1000</f>
        <v>1000</v>
      </c>
      <c r="D56" s="12">
        <f t="shared" si="1"/>
        <v>-1000</v>
      </c>
      <c r="E56" s="12">
        <f>1000</f>
        <v>1000</v>
      </c>
    </row>
    <row r="57" spans="1:5" x14ac:dyDescent="0.25">
      <c r="A57" s="8" t="s">
        <v>57</v>
      </c>
      <c r="B57" s="9"/>
      <c r="C57" s="12">
        <f>500</f>
        <v>500</v>
      </c>
      <c r="D57" s="12">
        <f t="shared" si="1"/>
        <v>-500</v>
      </c>
      <c r="E57" s="12">
        <f>500</f>
        <v>500</v>
      </c>
    </row>
    <row r="58" spans="1:5" x14ac:dyDescent="0.25">
      <c r="A58" s="8" t="s">
        <v>58</v>
      </c>
      <c r="B58" s="12">
        <f>4850</f>
        <v>4850</v>
      </c>
      <c r="C58" s="12">
        <f>3500</f>
        <v>3500</v>
      </c>
      <c r="D58" s="39">
        <f t="shared" si="1"/>
        <v>1350</v>
      </c>
      <c r="E58" s="12">
        <f>3500</f>
        <v>3500</v>
      </c>
    </row>
    <row r="59" spans="1:5" x14ac:dyDescent="0.25">
      <c r="A59" s="15" t="s">
        <v>89</v>
      </c>
      <c r="B59" s="12"/>
      <c r="C59" s="12"/>
      <c r="D59" s="12"/>
      <c r="E59" s="18">
        <v>300</v>
      </c>
    </row>
    <row r="60" spans="1:5" x14ac:dyDescent="0.25">
      <c r="A60" s="8" t="s">
        <v>59</v>
      </c>
      <c r="B60" s="12">
        <f>11361</f>
        <v>11361</v>
      </c>
      <c r="C60" s="12">
        <f>18000</f>
        <v>18000</v>
      </c>
      <c r="D60" s="12">
        <f t="shared" si="1"/>
        <v>-6639</v>
      </c>
      <c r="E60" s="12">
        <f>18000</f>
        <v>18000</v>
      </c>
    </row>
    <row r="61" spans="1:5" x14ac:dyDescent="0.25">
      <c r="A61" s="8" t="s">
        <v>60</v>
      </c>
      <c r="B61" s="14">
        <f>(((((((((((((B46)+(B47))+(B48))+(B51))+(B52))+(B53))+(B54))+(B55))+(B56))+(B57))+(B58))+(B60))+(B49))+(B50)</f>
        <v>82821</v>
      </c>
      <c r="C61" s="14">
        <f>(((((((((((((C46)+(C47))+(C48))+(C51))+(C52))+(C53))+(C54))+(C55))+(C56))+(C57))+(C58))+(C60))+(C49))+(C50)</f>
        <v>152862</v>
      </c>
      <c r="D61" s="14">
        <f t="shared" si="1"/>
        <v>-70041</v>
      </c>
      <c r="E61" s="14">
        <f>SUM(E47:E60)</f>
        <v>177662</v>
      </c>
    </row>
    <row r="62" spans="1:5" x14ac:dyDescent="0.25">
      <c r="A62" s="8" t="s">
        <v>61</v>
      </c>
      <c r="B62" s="9"/>
      <c r="C62" s="9"/>
      <c r="D62" s="12">
        <f t="shared" si="1"/>
        <v>0</v>
      </c>
    </row>
    <row r="63" spans="1:5" x14ac:dyDescent="0.25">
      <c r="A63" s="8" t="s">
        <v>62</v>
      </c>
      <c r="B63" s="9"/>
      <c r="C63" s="12">
        <f>400</f>
        <v>400</v>
      </c>
      <c r="D63" s="12">
        <f t="shared" si="1"/>
        <v>-400</v>
      </c>
      <c r="E63" s="12">
        <f>840+200</f>
        <v>1040</v>
      </c>
    </row>
    <row r="64" spans="1:5" x14ac:dyDescent="0.25">
      <c r="A64" s="22" t="s">
        <v>31</v>
      </c>
      <c r="B64" s="9"/>
      <c r="C64" s="12"/>
      <c r="D64" s="12"/>
      <c r="E64" s="18">
        <f>200+840</f>
        <v>1040</v>
      </c>
    </row>
    <row r="65" spans="1:5" x14ac:dyDescent="0.25">
      <c r="A65" s="22" t="s">
        <v>32</v>
      </c>
      <c r="B65" s="9"/>
      <c r="C65" s="12"/>
      <c r="D65" s="12"/>
      <c r="E65" s="18">
        <f>200+840</f>
        <v>1040</v>
      </c>
    </row>
    <row r="66" spans="1:5" x14ac:dyDescent="0.25">
      <c r="A66" s="8" t="s">
        <v>63</v>
      </c>
      <c r="B66" s="12">
        <f>154</f>
        <v>154</v>
      </c>
      <c r="C66" s="12">
        <f>500</f>
        <v>500</v>
      </c>
      <c r="D66" s="12">
        <f t="shared" si="1"/>
        <v>-346</v>
      </c>
      <c r="E66" s="12">
        <v>500</v>
      </c>
    </row>
    <row r="67" spans="1:5" x14ac:dyDescent="0.25">
      <c r="A67" s="15" t="s">
        <v>31</v>
      </c>
      <c r="B67" s="12"/>
      <c r="C67" s="12"/>
      <c r="D67" s="12"/>
      <c r="E67" s="17">
        <v>121.56</v>
      </c>
    </row>
    <row r="68" spans="1:5" x14ac:dyDescent="0.25">
      <c r="A68" s="15" t="s">
        <v>32</v>
      </c>
      <c r="B68" s="12"/>
      <c r="C68" s="12"/>
      <c r="D68" s="12"/>
      <c r="E68" s="17">
        <v>136.96</v>
      </c>
    </row>
    <row r="69" spans="1:5" x14ac:dyDescent="0.25">
      <c r="A69" s="8" t="s">
        <v>64</v>
      </c>
      <c r="B69" s="9"/>
      <c r="C69" s="12">
        <f>500</f>
        <v>500</v>
      </c>
      <c r="D69" s="12">
        <f t="shared" si="1"/>
        <v>-500</v>
      </c>
      <c r="E69" s="12">
        <v>500</v>
      </c>
    </row>
    <row r="70" spans="1:5" x14ac:dyDescent="0.25">
      <c r="A70" s="8" t="s">
        <v>65</v>
      </c>
      <c r="B70" s="12">
        <f>94.9</f>
        <v>94.9</v>
      </c>
      <c r="C70" s="12">
        <f>150</f>
        <v>150</v>
      </c>
      <c r="D70" s="12">
        <f t="shared" si="1"/>
        <v>-55.099999999999994</v>
      </c>
      <c r="E70" s="12">
        <v>150</v>
      </c>
    </row>
    <row r="71" spans="1:5" x14ac:dyDescent="0.25">
      <c r="A71" s="8" t="s">
        <v>66</v>
      </c>
      <c r="B71" s="12">
        <f>291.25</f>
        <v>291.25</v>
      </c>
      <c r="C71" s="12">
        <f>525</f>
        <v>525</v>
      </c>
      <c r="D71" s="12">
        <f t="shared" si="1"/>
        <v>-233.75</v>
      </c>
      <c r="E71" s="12">
        <v>525</v>
      </c>
    </row>
    <row r="72" spans="1:5" x14ac:dyDescent="0.25">
      <c r="A72" s="15" t="s">
        <v>31</v>
      </c>
      <c r="B72" s="12"/>
      <c r="C72" s="12"/>
      <c r="D72" s="12"/>
      <c r="E72" s="17">
        <v>73.5</v>
      </c>
    </row>
    <row r="73" spans="1:5" x14ac:dyDescent="0.25">
      <c r="A73" s="15" t="s">
        <v>32</v>
      </c>
      <c r="B73" s="12"/>
      <c r="C73" s="12"/>
      <c r="D73" s="12"/>
      <c r="E73" s="17">
        <v>126</v>
      </c>
    </row>
    <row r="74" spans="1:5" x14ac:dyDescent="0.25">
      <c r="A74" s="8" t="s">
        <v>67</v>
      </c>
      <c r="B74" s="14">
        <f>(((((B62)+(B63))+(B66))+(B69))+(B70))+(B71)</f>
        <v>540.15</v>
      </c>
      <c r="C74" s="14">
        <f>(((((C62)+(C63))+(C66))+(C69))+(C70))+(C71)</f>
        <v>2075</v>
      </c>
      <c r="D74" s="14">
        <f t="shared" si="1"/>
        <v>-1534.85</v>
      </c>
      <c r="E74" s="14">
        <f>SUM(E63:E73)</f>
        <v>5253.02</v>
      </c>
    </row>
    <row r="75" spans="1:5" x14ac:dyDescent="0.25">
      <c r="A75" s="8" t="s">
        <v>68</v>
      </c>
      <c r="B75" s="12">
        <f>453.18</f>
        <v>453.18</v>
      </c>
      <c r="C75" s="12">
        <f>500</f>
        <v>500</v>
      </c>
      <c r="D75" s="12">
        <f t="shared" si="1"/>
        <v>-46.819999999999993</v>
      </c>
      <c r="E75" s="12">
        <v>650</v>
      </c>
    </row>
    <row r="76" spans="1:5" x14ac:dyDescent="0.25">
      <c r="A76" s="8" t="s">
        <v>69</v>
      </c>
      <c r="B76" s="9"/>
      <c r="C76" s="9"/>
      <c r="D76" s="12">
        <f t="shared" si="1"/>
        <v>0</v>
      </c>
      <c r="E76" s="12"/>
    </row>
    <row r="77" spans="1:5" x14ac:dyDescent="0.25">
      <c r="A77" s="8" t="s">
        <v>99</v>
      </c>
      <c r="B77" s="12">
        <f>1030</f>
        <v>1030</v>
      </c>
      <c r="C77" s="12">
        <f>400</f>
        <v>400</v>
      </c>
      <c r="D77" s="39">
        <f t="shared" si="1"/>
        <v>630</v>
      </c>
      <c r="E77" s="12">
        <v>1300</v>
      </c>
    </row>
    <row r="78" spans="1:5" x14ac:dyDescent="0.25">
      <c r="A78" s="15" t="s">
        <v>31</v>
      </c>
      <c r="B78" s="12"/>
      <c r="C78" s="12"/>
      <c r="D78" s="12"/>
      <c r="E78" s="18">
        <v>1300</v>
      </c>
    </row>
    <row r="79" spans="1:5" x14ac:dyDescent="0.25">
      <c r="A79" s="15" t="s">
        <v>32</v>
      </c>
      <c r="B79" s="12"/>
      <c r="C79" s="12"/>
      <c r="D79" s="12"/>
      <c r="E79" s="18">
        <v>1100</v>
      </c>
    </row>
    <row r="80" spans="1:5" x14ac:dyDescent="0.25">
      <c r="A80" s="8" t="s">
        <v>70</v>
      </c>
      <c r="B80" s="9"/>
      <c r="C80" s="12">
        <f>2500</f>
        <v>2500</v>
      </c>
      <c r="D80" s="12">
        <f t="shared" si="1"/>
        <v>-2500</v>
      </c>
      <c r="E80" s="12">
        <v>2500</v>
      </c>
    </row>
    <row r="81" spans="1:5" x14ac:dyDescent="0.25">
      <c r="A81" s="8" t="s">
        <v>71</v>
      </c>
      <c r="B81" s="9"/>
      <c r="C81" s="12">
        <f>1200</f>
        <v>1200</v>
      </c>
      <c r="D81" s="12">
        <f t="shared" si="1"/>
        <v>-1200</v>
      </c>
      <c r="E81" s="12">
        <v>1200</v>
      </c>
    </row>
    <row r="82" spans="1:5" x14ac:dyDescent="0.25">
      <c r="A82" s="8" t="s">
        <v>72</v>
      </c>
      <c r="B82" s="9"/>
      <c r="C82" s="12">
        <f>613</f>
        <v>613</v>
      </c>
      <c r="D82" s="12">
        <f t="shared" si="1"/>
        <v>-613</v>
      </c>
      <c r="E82" s="12">
        <v>613</v>
      </c>
    </row>
    <row r="83" spans="1:5" x14ac:dyDescent="0.25">
      <c r="A83" s="8" t="s">
        <v>73</v>
      </c>
      <c r="B83" s="14">
        <f>((((B76)+(B77))+(B80))+(B81))+(B82)</f>
        <v>1030</v>
      </c>
      <c r="C83" s="14">
        <f>((((C76)+(C77))+(C80))+(C81))+(C82)</f>
        <v>4713</v>
      </c>
      <c r="D83" s="14">
        <f t="shared" si="1"/>
        <v>-3683</v>
      </c>
      <c r="E83" s="14">
        <f>SUM(E75:E82)</f>
        <v>8663</v>
      </c>
    </row>
    <row r="84" spans="1:5" x14ac:dyDescent="0.25">
      <c r="A84" s="8" t="s">
        <v>74</v>
      </c>
      <c r="B84" s="9"/>
      <c r="C84" s="9"/>
      <c r="D84" s="12">
        <f t="shared" si="1"/>
        <v>0</v>
      </c>
    </row>
    <row r="85" spans="1:5" x14ac:dyDescent="0.25">
      <c r="A85" s="8" t="s">
        <v>75</v>
      </c>
      <c r="B85" s="12">
        <f>3196.25</f>
        <v>3196.25</v>
      </c>
      <c r="C85" s="12">
        <f>4500</f>
        <v>4500</v>
      </c>
      <c r="D85" s="12">
        <f t="shared" si="1"/>
        <v>-1303.75</v>
      </c>
      <c r="E85" s="12">
        <v>4500</v>
      </c>
    </row>
    <row r="86" spans="1:5" x14ac:dyDescent="0.25">
      <c r="A86" s="15" t="s">
        <v>31</v>
      </c>
      <c r="B86" s="12"/>
      <c r="C86" s="12"/>
      <c r="D86" s="12"/>
      <c r="E86" s="18">
        <v>800</v>
      </c>
    </row>
    <row r="87" spans="1:5" x14ac:dyDescent="0.25">
      <c r="A87" s="8" t="s">
        <v>76</v>
      </c>
      <c r="B87" s="14">
        <f>(B84)+(B85)</f>
        <v>3196.25</v>
      </c>
      <c r="C87" s="14">
        <f>(C84)+(C85)</f>
        <v>4500</v>
      </c>
      <c r="D87" s="14">
        <f t="shared" si="1"/>
        <v>-1303.75</v>
      </c>
      <c r="E87" s="14">
        <f>SUM(E85+E86)</f>
        <v>5300</v>
      </c>
    </row>
    <row r="88" spans="1:5" x14ac:dyDescent="0.25">
      <c r="A88" s="8" t="s">
        <v>77</v>
      </c>
      <c r="B88" s="14">
        <f>((((((((B19)+(B33))+(B39))+(B45))+(B61))+(B74))+(B75))+(B83))+(B87)</f>
        <v>212538.17</v>
      </c>
      <c r="C88" s="14">
        <f>((((((((C19)+(C33))+(C39))+(C45))+(C61))+(C74))+(C75))+(C83))+(C87)</f>
        <v>311550</v>
      </c>
      <c r="D88" s="14">
        <f t="shared" si="1"/>
        <v>-99011.829999999987</v>
      </c>
      <c r="E88" s="14">
        <f>E33+E39+E45+E61+E74+E83+E87</f>
        <v>388508.02</v>
      </c>
    </row>
    <row r="89" spans="1:5" x14ac:dyDescent="0.25">
      <c r="A89" s="8" t="s">
        <v>78</v>
      </c>
      <c r="B89" s="14">
        <f>(B17)-(B88)</f>
        <v>28062.429999999993</v>
      </c>
      <c r="C89" s="14">
        <f>(C17)-(C88)</f>
        <v>-8490</v>
      </c>
      <c r="D89" s="14">
        <f t="shared" si="1"/>
        <v>36552.429999999993</v>
      </c>
      <c r="E89" s="40">
        <f>E15-E88</f>
        <v>1631.9799999999814</v>
      </c>
    </row>
    <row r="90" spans="1:5" x14ac:dyDescent="0.25">
      <c r="A90" s="8" t="s">
        <v>79</v>
      </c>
      <c r="B90" s="9"/>
      <c r="C90" s="9"/>
      <c r="D90" s="9"/>
    </row>
    <row r="91" spans="1:5" x14ac:dyDescent="0.25">
      <c r="A91" s="8" t="s">
        <v>80</v>
      </c>
      <c r="B91" s="12">
        <f>7950</f>
        <v>7950</v>
      </c>
      <c r="C91" s="12">
        <f>5000</f>
        <v>5000</v>
      </c>
      <c r="D91" s="39">
        <f t="shared" ref="D91:D99" si="2">(B91)-(C91)</f>
        <v>2950</v>
      </c>
      <c r="E91" s="12">
        <v>5000</v>
      </c>
    </row>
    <row r="92" spans="1:5" x14ac:dyDescent="0.25">
      <c r="A92" s="8" t="s">
        <v>81</v>
      </c>
      <c r="B92" s="9"/>
      <c r="C92" s="12">
        <f>-3000</f>
        <v>-3000</v>
      </c>
      <c r="D92" s="12">
        <f t="shared" si="2"/>
        <v>3000</v>
      </c>
      <c r="E92" s="12"/>
    </row>
    <row r="93" spans="1:5" x14ac:dyDescent="0.25">
      <c r="A93" s="8" t="s">
        <v>82</v>
      </c>
      <c r="B93" s="12">
        <f>361.15</f>
        <v>361.15</v>
      </c>
      <c r="C93" s="12">
        <f>500</f>
        <v>500</v>
      </c>
      <c r="D93" s="12">
        <f t="shared" si="2"/>
        <v>-138.85000000000002</v>
      </c>
      <c r="E93" s="12">
        <v>500</v>
      </c>
    </row>
    <row r="94" spans="1:5" x14ac:dyDescent="0.25">
      <c r="A94" s="8" t="s">
        <v>83</v>
      </c>
      <c r="B94" s="12">
        <f>7262.28</f>
        <v>7262.28</v>
      </c>
      <c r="C94" s="12">
        <f>5000</f>
        <v>5000</v>
      </c>
      <c r="D94" s="39">
        <f t="shared" si="2"/>
        <v>2262.2799999999997</v>
      </c>
      <c r="E94" s="12">
        <v>5000</v>
      </c>
    </row>
    <row r="95" spans="1:5" x14ac:dyDescent="0.25">
      <c r="A95" s="8" t="s">
        <v>84</v>
      </c>
      <c r="B95" s="12">
        <f>1831.27</f>
        <v>1831.27</v>
      </c>
      <c r="C95" s="12">
        <f>350</f>
        <v>350</v>
      </c>
      <c r="D95" s="39">
        <f t="shared" si="2"/>
        <v>1481.27</v>
      </c>
      <c r="E95" s="12">
        <v>500</v>
      </c>
    </row>
    <row r="96" spans="1:5" x14ac:dyDescent="0.25">
      <c r="A96" s="8" t="s">
        <v>85</v>
      </c>
      <c r="B96" s="9"/>
      <c r="C96" s="12">
        <f>10000</f>
        <v>10000</v>
      </c>
      <c r="D96" s="12">
        <f t="shared" si="2"/>
        <v>-10000</v>
      </c>
      <c r="E96" s="12">
        <v>10000</v>
      </c>
    </row>
    <row r="97" spans="1:5" x14ac:dyDescent="0.25">
      <c r="A97" s="8" t="s">
        <v>86</v>
      </c>
      <c r="B97" s="14">
        <f>(((((B91)+(B92))+(B93))+(B94))+(B95))+(B96)</f>
        <v>17404.7</v>
      </c>
      <c r="C97" s="14">
        <f>(((((C91)+(C92))+(C93))+(C94))+(C95))+(C96)</f>
        <v>17850</v>
      </c>
      <c r="D97" s="14">
        <f t="shared" si="2"/>
        <v>-445.29999999999927</v>
      </c>
      <c r="E97" s="14">
        <f>SUM(E91:E96)</f>
        <v>21000</v>
      </c>
    </row>
    <row r="98" spans="1:5" x14ac:dyDescent="0.25">
      <c r="A98" s="8" t="s">
        <v>87</v>
      </c>
      <c r="B98" s="14">
        <f>(B97)-(0)</f>
        <v>17404.7</v>
      </c>
      <c r="C98" s="14">
        <f>(C97)-(0)</f>
        <v>17850</v>
      </c>
      <c r="D98" s="14">
        <f t="shared" si="2"/>
        <v>-445.29999999999927</v>
      </c>
      <c r="E98" s="14">
        <f>E97</f>
        <v>21000</v>
      </c>
    </row>
    <row r="99" spans="1:5" x14ac:dyDescent="0.25">
      <c r="A99" s="8" t="s">
        <v>88</v>
      </c>
      <c r="B99" s="14">
        <f>(B89)+(B98)</f>
        <v>45467.12999999999</v>
      </c>
      <c r="C99" s="14">
        <f>(C89)+(C98)</f>
        <v>9360</v>
      </c>
      <c r="D99" s="14">
        <f t="shared" si="2"/>
        <v>36107.12999999999</v>
      </c>
      <c r="E99" s="14">
        <f>E89+E98</f>
        <v>22631.979999999981</v>
      </c>
    </row>
    <row r="100" spans="1:5" x14ac:dyDescent="0.25">
      <c r="A100" s="8"/>
      <c r="B100" s="9"/>
      <c r="C100" s="9"/>
      <c r="D100" s="9"/>
    </row>
    <row r="103" spans="1:5" ht="15.75" thickBot="1" x14ac:dyDescent="0.3">
      <c r="A103" s="46"/>
      <c r="B103" s="42"/>
      <c r="C103" s="42"/>
      <c r="D103" s="42"/>
    </row>
    <row r="104" spans="1:5" x14ac:dyDescent="0.25">
      <c r="A104" s="23"/>
      <c r="B104" s="24">
        <v>2025</v>
      </c>
      <c r="C104" s="24">
        <v>2026</v>
      </c>
      <c r="D104" s="24"/>
      <c r="E104" s="25"/>
    </row>
    <row r="105" spans="1:5" x14ac:dyDescent="0.25">
      <c r="A105" s="26" t="s">
        <v>90</v>
      </c>
      <c r="B105" s="27">
        <f>C11+C12</f>
        <v>111600</v>
      </c>
      <c r="C105" s="27">
        <f>E11+E12</f>
        <v>140400</v>
      </c>
      <c r="E105" s="28"/>
    </row>
    <row r="106" spans="1:5" x14ac:dyDescent="0.25">
      <c r="A106" s="26"/>
      <c r="E106" s="28"/>
    </row>
    <row r="107" spans="1:5" x14ac:dyDescent="0.25">
      <c r="A107" s="26" t="s">
        <v>91</v>
      </c>
      <c r="B107" s="19">
        <f>E72+E73+E67+E68+B49+B50+E22+E23+E28+E29+E31+E32</f>
        <v>61073.020000000004</v>
      </c>
      <c r="C107" s="35">
        <f>E73+E72+E68+E67+E50+E49+E32+E31+E29+E28+E23+E22</f>
        <v>59923.020000000004</v>
      </c>
      <c r="D107" t="s">
        <v>94</v>
      </c>
      <c r="E107" s="28"/>
    </row>
    <row r="108" spans="1:5" x14ac:dyDescent="0.25">
      <c r="A108" s="26" t="s">
        <v>92</v>
      </c>
      <c r="B108" s="21"/>
      <c r="C108" s="34">
        <f>E86+E79+E78+E43+E42+E37+E36+E64+E65++E59+E26</f>
        <v>40760</v>
      </c>
      <c r="E108" s="28"/>
    </row>
    <row r="109" spans="1:5" x14ac:dyDescent="0.25">
      <c r="A109" s="26" t="s">
        <v>93</v>
      </c>
      <c r="B109" s="19">
        <f>B105-B107</f>
        <v>50526.979999999996</v>
      </c>
      <c r="C109" s="19">
        <f>C105-C107-C108</f>
        <v>39716.979999999996</v>
      </c>
      <c r="D109" t="s">
        <v>95</v>
      </c>
      <c r="E109" s="29"/>
    </row>
    <row r="110" spans="1:5" ht="15.75" thickBot="1" x14ac:dyDescent="0.3">
      <c r="A110" s="30" t="s">
        <v>96</v>
      </c>
      <c r="B110" s="31">
        <f>B109/60</f>
        <v>842.11633333333327</v>
      </c>
      <c r="C110" s="31">
        <f>C109/60</f>
        <v>661.94966666666664</v>
      </c>
      <c r="D110" s="32"/>
      <c r="E110" s="33"/>
    </row>
    <row r="111" spans="1:5" x14ac:dyDescent="0.25">
      <c r="B111" s="19"/>
    </row>
    <row r="112" spans="1:5" x14ac:dyDescent="0.25">
      <c r="A112" s="36" t="s">
        <v>97</v>
      </c>
      <c r="B112" s="37">
        <f>B109/B105</f>
        <v>0.45275071684587809</v>
      </c>
      <c r="C112" s="38">
        <f>C109/C105</f>
        <v>0.28288447293447289</v>
      </c>
    </row>
    <row r="113" spans="3:3" x14ac:dyDescent="0.25">
      <c r="C113" s="20"/>
    </row>
    <row r="114" spans="3:3" x14ac:dyDescent="0.25">
      <c r="C114" s="19"/>
    </row>
  </sheetData>
  <mergeCells count="5">
    <mergeCell ref="A1:D1"/>
    <mergeCell ref="A2:D2"/>
    <mergeCell ref="A3:D3"/>
    <mergeCell ref="B5:D5"/>
    <mergeCell ref="A103:D103"/>
  </mergeCells>
  <pageMargins left="0.25" right="0.25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Wilcox</dc:creator>
  <cp:lastModifiedBy>Teresa Wilcox</cp:lastModifiedBy>
  <cp:lastPrinted>2025-09-11T21:07:33Z</cp:lastPrinted>
  <dcterms:created xsi:type="dcterms:W3CDTF">2025-09-07T13:47:22Z</dcterms:created>
  <dcterms:modified xsi:type="dcterms:W3CDTF">2025-09-12T16:08:57Z</dcterms:modified>
</cp:coreProperties>
</file>